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<sst xmlns="http://schemas.openxmlformats.org/spreadsheetml/2006/main" count="93" uniqueCount="75">
  <si>
    <t>Interest</t>
  </si>
  <si>
    <t>EBT</t>
  </si>
  <si>
    <t>Income taxes</t>
  </si>
  <si>
    <t>Income tax rate</t>
  </si>
  <si>
    <t>Net income</t>
  </si>
  <si>
    <t>Depreciation</t>
  </si>
  <si>
    <t>EBITDA</t>
  </si>
  <si>
    <t>Capital expenditures</t>
  </si>
  <si>
    <t>Increase in WCR</t>
  </si>
  <si>
    <t>Proforma balance sheet</t>
  </si>
  <si>
    <t>Proforma income statements</t>
  </si>
  <si>
    <t>Proforma supplemental data</t>
  </si>
  <si>
    <t>Assets</t>
  </si>
  <si>
    <t>Fixed assets</t>
  </si>
  <si>
    <t>Working capital requirements</t>
  </si>
  <si>
    <t>Equity</t>
  </si>
  <si>
    <t>Debt</t>
  </si>
  <si>
    <t>Invested Capital</t>
  </si>
  <si>
    <t>Capital Employed</t>
  </si>
  <si>
    <t>Control</t>
  </si>
  <si>
    <t>Principal repaid</t>
  </si>
  <si>
    <t>Interest paid</t>
  </si>
  <si>
    <t>Dividends</t>
  </si>
  <si>
    <t>Proforma cash flows</t>
  </si>
  <si>
    <t>Operating profit</t>
  </si>
  <si>
    <t>Income taxes on operating profit</t>
  </si>
  <si>
    <t>- Increase in WCR</t>
  </si>
  <si>
    <t>- CAPEX</t>
  </si>
  <si>
    <t>Free cash flow to the firm</t>
  </si>
  <si>
    <t>Unlevered cost of capital</t>
  </si>
  <si>
    <t>Terminal value</t>
  </si>
  <si>
    <t>Terminal growth rate</t>
  </si>
  <si>
    <t>PV of explicit period</t>
  </si>
  <si>
    <t>PV of terminal value</t>
  </si>
  <si>
    <t>TV</t>
  </si>
  <si>
    <t>STEP 1: Prepare financial forecasts</t>
  </si>
  <si>
    <t>Interest expenses</t>
  </si>
  <si>
    <t>Interest tax shield</t>
  </si>
  <si>
    <t>TV of tax shield</t>
  </si>
  <si>
    <t>Cost of debt</t>
  </si>
  <si>
    <t>Debt at terminal value</t>
  </si>
  <si>
    <t>PV of tax shield</t>
  </si>
  <si>
    <t>STEP 3. Evaluate Financing Effects</t>
  </si>
  <si>
    <t>STEP 4: Add Pieces Together</t>
  </si>
  <si>
    <t>Unlevered intrinsic company value</t>
  </si>
  <si>
    <t>- Debt</t>
  </si>
  <si>
    <t>+ Cash</t>
  </si>
  <si>
    <t>Cash and equivalents</t>
  </si>
  <si>
    <t>Other assets for sale</t>
  </si>
  <si>
    <t xml:space="preserve">  Long term debentures @ 9,0%</t>
  </si>
  <si>
    <t xml:space="preserve">  Subordinated debt @ 9,5%</t>
  </si>
  <si>
    <t xml:space="preserve">  Bank loan @ 8,0%</t>
  </si>
  <si>
    <t xml:space="preserve">  Revolver @ 7,5%</t>
  </si>
  <si>
    <t>Equity value</t>
  </si>
  <si>
    <t>WACC</t>
  </si>
  <si>
    <t>Intrinsic enterprise value</t>
  </si>
  <si>
    <t>WACC tend to overvalue assets</t>
  </si>
  <si>
    <t>Free cash flow of the business</t>
  </si>
  <si>
    <t>PV of explicit period of business cash flow</t>
  </si>
  <si>
    <t>Unlevered intrinsic value of business</t>
  </si>
  <si>
    <t>+ Decrease in other assets</t>
  </si>
  <si>
    <t>Change of other assets</t>
  </si>
  <si>
    <t>Unlevered intrinsic value of other assets</t>
  </si>
  <si>
    <t>Unlevered intrinsec enterprise value</t>
  </si>
  <si>
    <t>STEP 2. Evaluate unlevered intrinsic enterprise value</t>
  </si>
  <si>
    <t>Example from Timothy Lueheman, HBR (1997)</t>
  </si>
  <si>
    <t>NOPAT (Net Operating Profit After Taxes)</t>
  </si>
  <si>
    <t>Amount</t>
  </si>
  <si>
    <t>Weight</t>
  </si>
  <si>
    <t>Before tax cost of debt</t>
  </si>
  <si>
    <t>Weigthed after tax cost</t>
  </si>
  <si>
    <t>Total Financing</t>
  </si>
  <si>
    <t>PV of cash flow from the business of explicit period</t>
  </si>
  <si>
    <t>Value of levered business</t>
  </si>
  <si>
    <t>Value of non-operating assets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</si>
</sst>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[$$-409]#,##0.00"/>
    <numFmt numFmtId="166" formatCode="[$$-409]#,##0.0"/>
    <numFmt numFmtId="167" formatCode="#,##0.0\ &quot;€&quot;;[Red]\-#,##0.0\ &quot;€&quot;"/>
    <numFmt numFmtId="168" formatCode="[$$-409]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Alignment="1">
      <alignment/>
    </xf>
    <xf numFmtId="9" fontId="38" fillId="0" borderId="0" xfId="0" applyNumberFormat="1" applyFont="1" applyAlignment="1">
      <alignment/>
    </xf>
    <xf numFmtId="164" fontId="38" fillId="0" borderId="0" xfId="57" applyNumberFormat="1" applyFont="1" applyAlignment="1">
      <alignment/>
    </xf>
    <xf numFmtId="166" fontId="38" fillId="0" borderId="0" xfId="0" applyNumberFormat="1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8" fillId="0" borderId="0" xfId="0" applyFont="1" applyAlignment="1" quotePrefix="1">
      <alignment/>
    </xf>
    <xf numFmtId="10" fontId="38" fillId="0" borderId="0" xfId="0" applyNumberFormat="1" applyFont="1" applyAlignment="1">
      <alignment/>
    </xf>
    <xf numFmtId="166" fontId="39" fillId="0" borderId="0" xfId="0" applyNumberFormat="1" applyFont="1" applyAlignment="1">
      <alignment/>
    </xf>
    <xf numFmtId="0" fontId="40" fillId="0" borderId="0" xfId="0" applyFont="1" applyAlignment="1">
      <alignment horizontal="right"/>
    </xf>
    <xf numFmtId="0" fontId="36" fillId="0" borderId="0" xfId="0" applyFont="1" applyAlignment="1">
      <alignment/>
    </xf>
    <xf numFmtId="164" fontId="38" fillId="0" borderId="0" xfId="0" applyNumberFormat="1" applyFont="1" applyAlignment="1">
      <alignment/>
    </xf>
    <xf numFmtId="9" fontId="38" fillId="0" borderId="0" xfId="57" applyFont="1" applyAlignment="1">
      <alignment/>
    </xf>
    <xf numFmtId="166" fontId="40" fillId="0" borderId="0" xfId="0" applyNumberFormat="1" applyFont="1" applyAlignment="1">
      <alignment/>
    </xf>
    <xf numFmtId="0" fontId="41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38" fillId="0" borderId="0" xfId="0" applyFont="1" applyAlignment="1">
      <alignment horizontal="right"/>
    </xf>
    <xf numFmtId="166" fontId="40" fillId="0" borderId="0" xfId="57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zoomScale="148" zoomScaleNormal="148" zoomScalePageLayoutView="0" workbookViewId="0" topLeftCell="A87">
      <selection activeCell="B98" sqref="B98"/>
    </sheetView>
  </sheetViews>
  <sheetFormatPr defaultColWidth="9.140625" defaultRowHeight="15"/>
  <cols>
    <col min="1" max="1" width="45.140625" style="1" bestFit="1" customWidth="1"/>
    <col min="2" max="16384" width="8.7109375" style="1" customWidth="1"/>
  </cols>
  <sheetData>
    <row r="1" ht="15">
      <c r="A1" s="15" t="s">
        <v>65</v>
      </c>
    </row>
    <row r="2" spans="1:2" ht="12.75">
      <c r="A2" s="1" t="s">
        <v>3</v>
      </c>
      <c r="B2" s="2">
        <v>0.34</v>
      </c>
    </row>
    <row r="3" spans="1:2" ht="12.75">
      <c r="A3" s="1" t="s">
        <v>31</v>
      </c>
      <c r="B3" s="2">
        <v>0.05</v>
      </c>
    </row>
    <row r="4" spans="1:2" ht="14.25">
      <c r="A4" s="11" t="s">
        <v>35</v>
      </c>
      <c r="B4" s="2"/>
    </row>
    <row r="5" spans="1:7" ht="12.75">
      <c r="A5" s="6" t="s">
        <v>10</v>
      </c>
      <c r="B5" s="6">
        <v>0</v>
      </c>
      <c r="C5" s="6">
        <v>1</v>
      </c>
      <c r="D5" s="6">
        <v>2</v>
      </c>
      <c r="E5" s="6">
        <v>3</v>
      </c>
      <c r="F5" s="6">
        <v>4</v>
      </c>
      <c r="G5" s="6">
        <v>5</v>
      </c>
    </row>
    <row r="6" spans="1:7" ht="12.75">
      <c r="A6" s="1" t="s">
        <v>6</v>
      </c>
      <c r="B6" s="2"/>
      <c r="C6" s="4">
        <v>44.2</v>
      </c>
      <c r="D6" s="4">
        <v>43.3</v>
      </c>
      <c r="E6" s="4">
        <v>48.6</v>
      </c>
      <c r="F6" s="4">
        <v>52.2</v>
      </c>
      <c r="G6" s="4">
        <v>54.8</v>
      </c>
    </row>
    <row r="7" spans="1:7" ht="12.75">
      <c r="A7" s="1" t="s">
        <v>5</v>
      </c>
      <c r="C7" s="4">
        <v>21.5</v>
      </c>
      <c r="D7" s="4">
        <v>13.5</v>
      </c>
      <c r="E7" s="4">
        <v>11.5</v>
      </c>
      <c r="F7" s="4">
        <v>12.1</v>
      </c>
      <c r="G7" s="4">
        <v>12.7</v>
      </c>
    </row>
    <row r="8" spans="1:7" ht="12.75">
      <c r="A8" s="1" t="s">
        <v>24</v>
      </c>
      <c r="C8" s="4">
        <f>+C6-C7</f>
        <v>22.700000000000003</v>
      </c>
      <c r="D8" s="4">
        <f>+D6-D7</f>
        <v>29.799999999999997</v>
      </c>
      <c r="E8" s="4">
        <f>+E6-E7</f>
        <v>37.1</v>
      </c>
      <c r="F8" s="4">
        <f>+F6-F7</f>
        <v>40.1</v>
      </c>
      <c r="G8" s="4">
        <f>+G6-G7</f>
        <v>42.099999999999994</v>
      </c>
    </row>
    <row r="9" spans="1:7" ht="12.75">
      <c r="A9" s="1" t="s">
        <v>0</v>
      </c>
      <c r="C9" s="4">
        <v>21.6</v>
      </c>
      <c r="D9" s="4">
        <v>19.1</v>
      </c>
      <c r="E9" s="4">
        <v>17.8</v>
      </c>
      <c r="F9" s="4">
        <v>16.7</v>
      </c>
      <c r="G9" s="4">
        <v>15.8</v>
      </c>
    </row>
    <row r="10" spans="1:7" ht="12.75">
      <c r="A10" s="1" t="s">
        <v>1</v>
      </c>
      <c r="C10" s="4">
        <f>+C8-C9</f>
        <v>1.1000000000000014</v>
      </c>
      <c r="D10" s="4">
        <f>+D8-D9</f>
        <v>10.699999999999996</v>
      </c>
      <c r="E10" s="4">
        <f>+E8-E9</f>
        <v>19.3</v>
      </c>
      <c r="F10" s="4">
        <f>+F8-F9</f>
        <v>23.400000000000002</v>
      </c>
      <c r="G10" s="4">
        <f>+G8-G9</f>
        <v>26.299999999999994</v>
      </c>
    </row>
    <row r="11" spans="1:7" ht="12.75">
      <c r="A11" s="1" t="s">
        <v>2</v>
      </c>
      <c r="C11" s="4">
        <f>ROUND(+C10*$B$2,1)</f>
        <v>0.4</v>
      </c>
      <c r="D11" s="4">
        <f>ROUND(+D10*$B$2,1)</f>
        <v>3.6</v>
      </c>
      <c r="E11" s="4">
        <f>ROUND(+E10*$B$2,1)</f>
        <v>6.6</v>
      </c>
      <c r="F11" s="4">
        <f>ROUND(+F10*$B$2,1)</f>
        <v>8</v>
      </c>
      <c r="G11" s="4">
        <f>ROUND(+G10*$B$2,1)</f>
        <v>8.9</v>
      </c>
    </row>
    <row r="12" spans="1:7" ht="12.75">
      <c r="A12" s="1" t="s">
        <v>4</v>
      </c>
      <c r="C12" s="4">
        <f>+C10-C11</f>
        <v>0.7000000000000014</v>
      </c>
      <c r="D12" s="4">
        <f>+D10-D11</f>
        <v>7.099999999999996</v>
      </c>
      <c r="E12" s="4">
        <f>+E10-E11</f>
        <v>12.700000000000001</v>
      </c>
      <c r="F12" s="4">
        <f>+F10-F11</f>
        <v>15.400000000000002</v>
      </c>
      <c r="G12" s="4">
        <f>+G10-G11</f>
        <v>17.39999999999999</v>
      </c>
    </row>
    <row r="13" spans="3:7" ht="12.75">
      <c r="C13" s="4"/>
      <c r="D13" s="4"/>
      <c r="E13" s="4"/>
      <c r="F13" s="4"/>
      <c r="G13" s="4"/>
    </row>
    <row r="14" spans="1:7" ht="12.75">
      <c r="A14" s="6" t="s">
        <v>11</v>
      </c>
      <c r="C14" s="4"/>
      <c r="D14" s="4"/>
      <c r="E14" s="4"/>
      <c r="F14" s="4"/>
      <c r="G14" s="4"/>
    </row>
    <row r="15" spans="1:7" ht="12.75">
      <c r="A15" s="1" t="s">
        <v>7</v>
      </c>
      <c r="C15" s="4">
        <v>10.7</v>
      </c>
      <c r="D15" s="4">
        <v>10.1</v>
      </c>
      <c r="E15" s="4">
        <v>10.4</v>
      </c>
      <c r="F15" s="4">
        <v>11.5</v>
      </c>
      <c r="G15" s="4">
        <v>13.1</v>
      </c>
    </row>
    <row r="16" spans="1:7" ht="12.75">
      <c r="A16" s="1" t="s">
        <v>8</v>
      </c>
      <c r="C16" s="4">
        <v>-12.3</v>
      </c>
      <c r="D16" s="4">
        <v>1.9</v>
      </c>
      <c r="E16" s="4">
        <v>4.2</v>
      </c>
      <c r="F16" s="4">
        <v>5.2</v>
      </c>
      <c r="G16" s="4">
        <v>6.1</v>
      </c>
    </row>
    <row r="17" spans="1:7" ht="12.75">
      <c r="A17" s="1" t="s">
        <v>61</v>
      </c>
      <c r="C17" s="4">
        <v>-9</v>
      </c>
      <c r="D17" s="4">
        <v>-6.9</v>
      </c>
      <c r="E17" s="4">
        <v>-3.4</v>
      </c>
      <c r="F17" s="4">
        <v>0</v>
      </c>
      <c r="G17" s="4">
        <v>0</v>
      </c>
    </row>
    <row r="19" spans="1:7" ht="12.75">
      <c r="A19" s="6" t="s">
        <v>9</v>
      </c>
      <c r="B19" s="6">
        <v>0</v>
      </c>
      <c r="C19" s="6">
        <v>1</v>
      </c>
      <c r="D19" s="6">
        <v>2</v>
      </c>
      <c r="E19" s="6">
        <v>3</v>
      </c>
      <c r="F19" s="6">
        <v>4</v>
      </c>
      <c r="G19" s="6">
        <v>5</v>
      </c>
    </row>
    <row r="20" ht="12.75">
      <c r="A20" s="6" t="s">
        <v>12</v>
      </c>
    </row>
    <row r="21" spans="1:7" ht="12.75">
      <c r="A21" s="1" t="s">
        <v>13</v>
      </c>
      <c r="B21" s="4">
        <v>221</v>
      </c>
      <c r="C21" s="4">
        <f>+B21+C15-C7</f>
        <v>210.2</v>
      </c>
      <c r="D21" s="4">
        <f>+C21+D15-D7</f>
        <v>206.79999999999998</v>
      </c>
      <c r="E21" s="4">
        <f>+D21+E15-E7</f>
        <v>205.7</v>
      </c>
      <c r="F21" s="4">
        <f>+E21+F15-F7</f>
        <v>205.1</v>
      </c>
      <c r="G21" s="4">
        <f>+F21+G15-G7</f>
        <v>205.5</v>
      </c>
    </row>
    <row r="22" spans="1:7" ht="12.75">
      <c r="A22" s="1" t="s">
        <v>14</v>
      </c>
      <c r="B22" s="4">
        <v>60</v>
      </c>
      <c r="C22" s="4">
        <f aca="true" t="shared" si="0" ref="C22:G23">+B22+C16</f>
        <v>47.7</v>
      </c>
      <c r="D22" s="4">
        <f t="shared" si="0"/>
        <v>49.6</v>
      </c>
      <c r="E22" s="4">
        <f t="shared" si="0"/>
        <v>53.800000000000004</v>
      </c>
      <c r="F22" s="4">
        <f t="shared" si="0"/>
        <v>59.00000000000001</v>
      </c>
      <c r="G22" s="4">
        <f t="shared" si="0"/>
        <v>65.10000000000001</v>
      </c>
    </row>
    <row r="23" spans="1:7" ht="12.75">
      <c r="A23" s="1" t="s">
        <v>48</v>
      </c>
      <c r="B23" s="4">
        <f>26-6.7</f>
        <v>19.3</v>
      </c>
      <c r="C23" s="4">
        <f t="shared" si="0"/>
        <v>10.3</v>
      </c>
      <c r="D23" s="4">
        <f t="shared" si="0"/>
        <v>3.4000000000000004</v>
      </c>
      <c r="E23" s="4">
        <f t="shared" si="0"/>
        <v>0</v>
      </c>
      <c r="F23" s="4">
        <f t="shared" si="0"/>
        <v>0</v>
      </c>
      <c r="G23" s="4">
        <f t="shared" si="0"/>
        <v>0</v>
      </c>
    </row>
    <row r="24" spans="1:7" ht="12.75">
      <c r="A24" s="1" t="s">
        <v>47</v>
      </c>
      <c r="B24" s="4">
        <v>6.7</v>
      </c>
      <c r="C24" s="4">
        <v>6.7</v>
      </c>
      <c r="D24" s="4">
        <v>6.7</v>
      </c>
      <c r="E24" s="4">
        <v>6.7</v>
      </c>
      <c r="F24" s="4">
        <v>6.7</v>
      </c>
      <c r="G24" s="4">
        <v>6.7</v>
      </c>
    </row>
    <row r="25" spans="1:7" ht="12.75">
      <c r="A25" s="6" t="s">
        <v>17</v>
      </c>
      <c r="B25" s="14">
        <f aca="true" t="shared" si="1" ref="B25:G25">SUM(B21:B24)</f>
        <v>307</v>
      </c>
      <c r="C25" s="14">
        <f t="shared" si="1"/>
        <v>274.9</v>
      </c>
      <c r="D25" s="14">
        <f t="shared" si="1"/>
        <v>266.49999999999994</v>
      </c>
      <c r="E25" s="14">
        <f t="shared" si="1"/>
        <v>266.2</v>
      </c>
      <c r="F25" s="14">
        <f t="shared" si="1"/>
        <v>270.8</v>
      </c>
      <c r="G25" s="14">
        <f t="shared" si="1"/>
        <v>277.3</v>
      </c>
    </row>
    <row r="26" spans="1:7" ht="12.75">
      <c r="A26" s="6" t="s">
        <v>18</v>
      </c>
      <c r="B26" s="4"/>
      <c r="C26" s="4"/>
      <c r="D26" s="4"/>
      <c r="E26" s="4"/>
      <c r="F26" s="4"/>
      <c r="G26" s="4"/>
    </row>
    <row r="27" spans="1:7" ht="12.75">
      <c r="A27" s="1" t="s">
        <v>15</v>
      </c>
      <c r="B27" s="4">
        <v>64</v>
      </c>
      <c r="C27" s="4">
        <f>+B27+C12-C38</f>
        <v>64.7</v>
      </c>
      <c r="D27" s="4">
        <f>+C27+D12-D38</f>
        <v>71.8</v>
      </c>
      <c r="E27" s="4">
        <f>+D27+E12-E38</f>
        <v>84.5</v>
      </c>
      <c r="F27" s="4">
        <f>+E27+F12-F38</f>
        <v>99.9</v>
      </c>
      <c r="G27" s="4">
        <f>+F27+G12-G38</f>
        <v>117.3</v>
      </c>
    </row>
    <row r="28" spans="1:7" ht="12.75">
      <c r="A28" s="1" t="s">
        <v>49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140</v>
      </c>
    </row>
    <row r="29" spans="1:7" ht="12.75">
      <c r="A29" s="1" t="s">
        <v>50</v>
      </c>
      <c r="B29" s="4">
        <v>150</v>
      </c>
      <c r="C29" s="4">
        <v>150</v>
      </c>
      <c r="D29" s="4">
        <v>150</v>
      </c>
      <c r="E29" s="4">
        <v>150</v>
      </c>
      <c r="F29" s="4">
        <v>150</v>
      </c>
      <c r="G29" s="4">
        <v>0</v>
      </c>
    </row>
    <row r="30" spans="1:7" ht="12.75">
      <c r="A30" s="1" t="s">
        <v>51</v>
      </c>
      <c r="B30" s="4">
        <v>80</v>
      </c>
      <c r="C30" s="4">
        <v>60</v>
      </c>
      <c r="D30" s="4">
        <v>40</v>
      </c>
      <c r="E30" s="4">
        <v>20</v>
      </c>
      <c r="F30" s="4"/>
      <c r="G30" s="4"/>
    </row>
    <row r="31" spans="1:7" ht="12.75">
      <c r="A31" s="1" t="s">
        <v>52</v>
      </c>
      <c r="B31" s="4">
        <v>13</v>
      </c>
      <c r="C31" s="4">
        <v>0.2</v>
      </c>
      <c r="D31" s="4">
        <v>4.7</v>
      </c>
      <c r="E31" s="4">
        <v>11.7</v>
      </c>
      <c r="F31" s="4">
        <v>20.9</v>
      </c>
      <c r="G31" s="4">
        <v>20</v>
      </c>
    </row>
    <row r="32" spans="1:7" ht="12.75">
      <c r="A32" s="1" t="s">
        <v>16</v>
      </c>
      <c r="B32" s="4">
        <f aca="true" t="shared" si="2" ref="B32:G32">SUM(B28:B31)</f>
        <v>243</v>
      </c>
      <c r="C32" s="4">
        <f t="shared" si="2"/>
        <v>210.2</v>
      </c>
      <c r="D32" s="4">
        <f t="shared" si="2"/>
        <v>194.7</v>
      </c>
      <c r="E32" s="4">
        <f t="shared" si="2"/>
        <v>181.7</v>
      </c>
      <c r="F32" s="4">
        <f t="shared" si="2"/>
        <v>170.9</v>
      </c>
      <c r="G32" s="4">
        <f t="shared" si="2"/>
        <v>160</v>
      </c>
    </row>
    <row r="33" spans="1:7" ht="12.75">
      <c r="A33" s="6" t="s">
        <v>18</v>
      </c>
      <c r="B33" s="14">
        <f aca="true" t="shared" si="3" ref="B33:G33">+B27+B32</f>
        <v>307</v>
      </c>
      <c r="C33" s="14">
        <f t="shared" si="3"/>
        <v>274.9</v>
      </c>
      <c r="D33" s="14">
        <f t="shared" si="3"/>
        <v>266.5</v>
      </c>
      <c r="E33" s="14">
        <f t="shared" si="3"/>
        <v>266.2</v>
      </c>
      <c r="F33" s="14">
        <f t="shared" si="3"/>
        <v>270.8</v>
      </c>
      <c r="G33" s="14">
        <f t="shared" si="3"/>
        <v>277.3</v>
      </c>
    </row>
    <row r="34" spans="1:9" ht="12.75">
      <c r="A34" s="5" t="s">
        <v>19</v>
      </c>
      <c r="B34" s="9">
        <f aca="true" t="shared" si="4" ref="B34:G34">+B25-B33</f>
        <v>0</v>
      </c>
      <c r="C34" s="9">
        <f t="shared" si="4"/>
        <v>0</v>
      </c>
      <c r="D34" s="9">
        <f t="shared" si="4"/>
        <v>0</v>
      </c>
      <c r="E34" s="9">
        <f t="shared" si="4"/>
        <v>0</v>
      </c>
      <c r="F34" s="9">
        <f t="shared" si="4"/>
        <v>0</v>
      </c>
      <c r="G34" s="9">
        <f t="shared" si="4"/>
        <v>0</v>
      </c>
      <c r="I34" s="3"/>
    </row>
    <row r="35" spans="1:7" ht="12.75">
      <c r="A35" s="6" t="s">
        <v>11</v>
      </c>
      <c r="B35" s="13">
        <f>+B32/B33</f>
        <v>0.7915309446254072</v>
      </c>
      <c r="C35" s="13">
        <f>+C32/C33</f>
        <v>0.7646416878865042</v>
      </c>
      <c r="D35" s="13">
        <f>+D32/D33</f>
        <v>0.7305816135084428</v>
      </c>
      <c r="E35" s="13">
        <f>+E32/E33</f>
        <v>0.6825694966190834</v>
      </c>
      <c r="F35" s="13">
        <f>+F32/F33</f>
        <v>0.6310930576070901</v>
      </c>
      <c r="G35" s="13">
        <f>+G32/G33</f>
        <v>0.5769924269743959</v>
      </c>
    </row>
    <row r="36" spans="1:7" ht="12.75">
      <c r="A36" s="1" t="s">
        <v>20</v>
      </c>
      <c r="B36" s="4"/>
      <c r="C36" s="4">
        <f>+C32-B32</f>
        <v>-32.80000000000001</v>
      </c>
      <c r="D36" s="4">
        <f>+D32-C32</f>
        <v>-15.5</v>
      </c>
      <c r="E36" s="4">
        <f>+E32-D32</f>
        <v>-13</v>
      </c>
      <c r="F36" s="4">
        <f>+F32-E32</f>
        <v>-10.799999999999983</v>
      </c>
      <c r="G36" s="4">
        <f>+G32-F32</f>
        <v>-10.900000000000006</v>
      </c>
    </row>
    <row r="37" spans="1:7" ht="12.75">
      <c r="A37" s="1" t="s">
        <v>21</v>
      </c>
      <c r="B37" s="4"/>
      <c r="C37" s="4">
        <f>+C9</f>
        <v>21.6</v>
      </c>
      <c r="D37" s="4">
        <f>+D9</f>
        <v>19.1</v>
      </c>
      <c r="E37" s="4">
        <f>+E9</f>
        <v>17.8</v>
      </c>
      <c r="F37" s="4">
        <f>+F9</f>
        <v>16.7</v>
      </c>
      <c r="G37" s="4">
        <f>+G9</f>
        <v>15.8</v>
      </c>
    </row>
    <row r="38" spans="1:7" ht="12.75">
      <c r="A38" s="1" t="s">
        <v>22</v>
      </c>
      <c r="B38" s="4"/>
      <c r="C38" s="4">
        <v>0</v>
      </c>
      <c r="D38" s="4">
        <v>0</v>
      </c>
      <c r="E38" s="4">
        <v>0</v>
      </c>
      <c r="F38" s="4">
        <v>0</v>
      </c>
      <c r="G38" s="4">
        <v>0</v>
      </c>
    </row>
    <row r="39" ht="12.75">
      <c r="C39" s="4">
        <f>+C42-C11</f>
        <v>7.3</v>
      </c>
    </row>
    <row r="40" spans="1:8" ht="12.75">
      <c r="A40" s="6" t="s">
        <v>23</v>
      </c>
      <c r="B40" s="6">
        <v>0</v>
      </c>
      <c r="C40" s="6">
        <v>1</v>
      </c>
      <c r="D40" s="6">
        <v>2</v>
      </c>
      <c r="E40" s="6">
        <v>3</v>
      </c>
      <c r="F40" s="6">
        <v>4</v>
      </c>
      <c r="G40" s="6">
        <v>5</v>
      </c>
      <c r="H40" s="10" t="s">
        <v>34</v>
      </c>
    </row>
    <row r="41" spans="1:8" ht="12.75">
      <c r="A41" s="1" t="s">
        <v>24</v>
      </c>
      <c r="C41" s="4">
        <f>+C8</f>
        <v>22.700000000000003</v>
      </c>
      <c r="D41" s="4">
        <f>+D8</f>
        <v>29.799999999999997</v>
      </c>
      <c r="E41" s="4">
        <f>+E8</f>
        <v>37.1</v>
      </c>
      <c r="F41" s="4">
        <f>+F8</f>
        <v>40.1</v>
      </c>
      <c r="G41" s="4">
        <f>+G8</f>
        <v>42.099999999999994</v>
      </c>
      <c r="H41" s="4"/>
    </row>
    <row r="42" spans="1:8" ht="12.75">
      <c r="A42" s="1" t="s">
        <v>25</v>
      </c>
      <c r="C42" s="4">
        <f>ROUND(+C41*$B$2,1)</f>
        <v>7.7</v>
      </c>
      <c r="D42" s="4">
        <f>ROUND(+D41*$B$2,1)</f>
        <v>10.1</v>
      </c>
      <c r="E42" s="4">
        <f>ROUND(+E41*$B$2,1)</f>
        <v>12.6</v>
      </c>
      <c r="F42" s="4">
        <f>ROUND(+F41*$B$2,1)</f>
        <v>13.6</v>
      </c>
      <c r="G42" s="4">
        <f>ROUND(+G41*$B$2,1)</f>
        <v>14.3</v>
      </c>
      <c r="H42" s="4"/>
    </row>
    <row r="43" spans="1:8" ht="12.75">
      <c r="A43" s="1" t="s">
        <v>66</v>
      </c>
      <c r="C43" s="4">
        <f>+C41-C42</f>
        <v>15.000000000000004</v>
      </c>
      <c r="D43" s="4">
        <f>+D41-D42</f>
        <v>19.699999999999996</v>
      </c>
      <c r="E43" s="4">
        <f>+E41-E42</f>
        <v>24.5</v>
      </c>
      <c r="F43" s="4">
        <f>+F41-F42</f>
        <v>26.5</v>
      </c>
      <c r="G43" s="4">
        <f>+G41-G42</f>
        <v>27.799999999999994</v>
      </c>
      <c r="H43" s="4"/>
    </row>
    <row r="44" spans="1:8" ht="12.75">
      <c r="A44" s="1" t="s">
        <v>5</v>
      </c>
      <c r="C44" s="4">
        <f>+C7</f>
        <v>21.5</v>
      </c>
      <c r="D44" s="4">
        <f>+D7</f>
        <v>13.5</v>
      </c>
      <c r="E44" s="4">
        <f>+E7</f>
        <v>11.5</v>
      </c>
      <c r="F44" s="4">
        <f>+F7</f>
        <v>12.1</v>
      </c>
      <c r="G44" s="4">
        <f>+G7</f>
        <v>12.7</v>
      </c>
      <c r="H44" s="4"/>
    </row>
    <row r="45" spans="1:8" ht="12.75">
      <c r="A45" s="7" t="s">
        <v>26</v>
      </c>
      <c r="C45" s="4">
        <f>+C16</f>
        <v>-12.3</v>
      </c>
      <c r="D45" s="4">
        <f>+D16</f>
        <v>1.9</v>
      </c>
      <c r="E45" s="4">
        <f>+E16</f>
        <v>4.2</v>
      </c>
      <c r="F45" s="4">
        <f>+F16</f>
        <v>5.2</v>
      </c>
      <c r="G45" s="4">
        <f>+G16</f>
        <v>6.1</v>
      </c>
      <c r="H45" s="4"/>
    </row>
    <row r="46" spans="1:8" ht="12.75">
      <c r="A46" s="7" t="s">
        <v>27</v>
      </c>
      <c r="C46" s="4">
        <f>+C15</f>
        <v>10.7</v>
      </c>
      <c r="D46" s="4">
        <f>+D15</f>
        <v>10.1</v>
      </c>
      <c r="E46" s="4">
        <f>+E15</f>
        <v>10.4</v>
      </c>
      <c r="F46" s="4">
        <f>+F15</f>
        <v>11.5</v>
      </c>
      <c r="G46" s="4">
        <f>+G15</f>
        <v>13.1</v>
      </c>
      <c r="H46" s="4"/>
    </row>
    <row r="47" spans="1:8" ht="12.75">
      <c r="A47" s="7" t="s">
        <v>57</v>
      </c>
      <c r="C47" s="4">
        <f>+C43+C44-C45-C46</f>
        <v>38.099999999999994</v>
      </c>
      <c r="D47" s="4">
        <f>+D43+D44-D45-D46</f>
        <v>21.199999999999996</v>
      </c>
      <c r="E47" s="4">
        <f>+E43+E44-E45-E46</f>
        <v>21.4</v>
      </c>
      <c r="F47" s="4">
        <f>+F43+F44-F45-F46</f>
        <v>21.9</v>
      </c>
      <c r="G47" s="4">
        <f>+G43+G44-G45-G46</f>
        <v>21.29999999999999</v>
      </c>
      <c r="H47" s="4">
        <f>ROUND(+G47*(1+B3),1)</f>
        <v>22.4</v>
      </c>
    </row>
    <row r="48" spans="1:8" ht="12.75">
      <c r="A48" s="7" t="s">
        <v>60</v>
      </c>
      <c r="C48" s="4">
        <f>-C17</f>
        <v>9</v>
      </c>
      <c r="D48" s="4">
        <f>-D17</f>
        <v>6.9</v>
      </c>
      <c r="E48" s="4">
        <f>-E17</f>
        <v>3.4</v>
      </c>
      <c r="F48" s="4">
        <f>-F17</f>
        <v>0</v>
      </c>
      <c r="G48" s="4">
        <f>-G17</f>
        <v>0</v>
      </c>
      <c r="H48" s="4"/>
    </row>
    <row r="49" spans="1:7" ht="12.75">
      <c r="A49" s="1" t="s">
        <v>28</v>
      </c>
      <c r="C49" s="4">
        <f>+C47+C48</f>
        <v>47.099999999999994</v>
      </c>
      <c r="D49" s="4">
        <f>+D47+D48</f>
        <v>28.099999999999994</v>
      </c>
      <c r="E49" s="4">
        <f>+E47+E48</f>
        <v>24.799999999999997</v>
      </c>
      <c r="F49" s="4">
        <f>+F47+F48</f>
        <v>21.9</v>
      </c>
      <c r="G49" s="4">
        <f>+G47+G48</f>
        <v>21.29999999999999</v>
      </c>
    </row>
    <row r="50" spans="3:8" ht="12.75">
      <c r="C50" s="4"/>
      <c r="D50" s="4"/>
      <c r="E50" s="4"/>
      <c r="F50" s="4"/>
      <c r="G50" s="4"/>
      <c r="H50" s="4"/>
    </row>
    <row r="51" spans="1:8" ht="14.25">
      <c r="A51" s="11" t="s">
        <v>64</v>
      </c>
      <c r="B51" s="6">
        <v>0</v>
      </c>
      <c r="C51" s="6">
        <v>1</v>
      </c>
      <c r="D51" s="6">
        <v>2</v>
      </c>
      <c r="E51" s="6">
        <v>3</v>
      </c>
      <c r="F51" s="6">
        <v>4</v>
      </c>
      <c r="G51" s="6">
        <v>5</v>
      </c>
      <c r="H51" s="4"/>
    </row>
    <row r="52" spans="1:8" ht="12.75">
      <c r="A52" s="1" t="s">
        <v>29</v>
      </c>
      <c r="B52" s="8">
        <v>0.135</v>
      </c>
      <c r="C52" s="4"/>
      <c r="D52" s="4"/>
      <c r="E52" s="4"/>
      <c r="F52" s="4"/>
      <c r="G52" s="4"/>
      <c r="H52" s="4"/>
    </row>
    <row r="53" spans="1:8" ht="12.75">
      <c r="A53" s="1" t="s">
        <v>30</v>
      </c>
      <c r="C53" s="4"/>
      <c r="D53" s="4"/>
      <c r="E53" s="4"/>
      <c r="F53" s="4"/>
      <c r="G53" s="4">
        <f>ROUND(+H47/(B52-B3),1)</f>
        <v>263.5</v>
      </c>
      <c r="H53" s="4"/>
    </row>
    <row r="54" spans="1:2" ht="12.75">
      <c r="A54" s="1" t="s">
        <v>58</v>
      </c>
      <c r="B54" s="4">
        <f>NPV(B52,C47:G47)</f>
        <v>89.16609748560059</v>
      </c>
    </row>
    <row r="55" spans="1:2" ht="12.75">
      <c r="A55" s="1" t="s">
        <v>33</v>
      </c>
      <c r="B55" s="4">
        <f>+G53/(1+B52)^G40</f>
        <v>139.89471630665574</v>
      </c>
    </row>
    <row r="56" spans="1:2" ht="12.75">
      <c r="A56" s="1" t="s">
        <v>59</v>
      </c>
      <c r="B56" s="4">
        <f>+B54+B55</f>
        <v>229.06081379225634</v>
      </c>
    </row>
    <row r="57" spans="1:2" ht="12.75">
      <c r="A57" s="1" t="s">
        <v>62</v>
      </c>
      <c r="B57" s="4">
        <f>NPV(B52,C48:G48)</f>
        <v>15.611088679117692</v>
      </c>
    </row>
    <row r="58" spans="1:2" ht="12.75">
      <c r="A58" s="1" t="s">
        <v>63</v>
      </c>
      <c r="B58" s="4">
        <f>+B56+B57</f>
        <v>244.67190247137404</v>
      </c>
    </row>
    <row r="59" ht="12.75">
      <c r="B59" s="4"/>
    </row>
    <row r="60" spans="1:8" ht="14.25">
      <c r="A60" s="11" t="s">
        <v>42</v>
      </c>
      <c r="B60" s="6">
        <v>0</v>
      </c>
      <c r="C60" s="6">
        <v>1</v>
      </c>
      <c r="D60" s="6">
        <v>2</v>
      </c>
      <c r="E60" s="6">
        <v>3</v>
      </c>
      <c r="F60" s="6">
        <v>4</v>
      </c>
      <c r="G60" s="6">
        <v>5</v>
      </c>
      <c r="H60" s="10" t="s">
        <v>34</v>
      </c>
    </row>
    <row r="61" spans="1:8" ht="12" customHeight="1">
      <c r="A61" s="1" t="s">
        <v>40</v>
      </c>
      <c r="C61" s="4"/>
      <c r="D61" s="4"/>
      <c r="E61" s="4"/>
      <c r="F61" s="4"/>
      <c r="G61" s="4"/>
      <c r="H61" s="4">
        <f>+G32</f>
        <v>160</v>
      </c>
    </row>
    <row r="62" spans="1:8" ht="12" customHeight="1">
      <c r="A62" s="1" t="s">
        <v>39</v>
      </c>
      <c r="B62" s="8">
        <v>0.095</v>
      </c>
      <c r="C62" s="4"/>
      <c r="D62" s="4"/>
      <c r="E62" s="4"/>
      <c r="F62" s="4"/>
      <c r="G62" s="4"/>
      <c r="H62" s="8">
        <v>0.09</v>
      </c>
    </row>
    <row r="63" spans="1:8" ht="12" customHeight="1">
      <c r="A63" s="1" t="s">
        <v>36</v>
      </c>
      <c r="C63" s="4">
        <f>+C9</f>
        <v>21.6</v>
      </c>
      <c r="D63" s="4">
        <f>+D9</f>
        <v>19.1</v>
      </c>
      <c r="E63" s="4">
        <f>+E9</f>
        <v>17.8</v>
      </c>
      <c r="F63" s="4">
        <f>+F9</f>
        <v>16.7</v>
      </c>
      <c r="G63" s="4">
        <f>+G9</f>
        <v>15.8</v>
      </c>
      <c r="H63" s="4">
        <f>+H61*H62</f>
        <v>14.399999999999999</v>
      </c>
    </row>
    <row r="64" spans="1:8" ht="12.75">
      <c r="A64" s="1" t="s">
        <v>37</v>
      </c>
      <c r="C64" s="4">
        <f aca="true" t="shared" si="5" ref="C64:H64">+C63*$B$2</f>
        <v>7.344000000000001</v>
      </c>
      <c r="D64" s="4">
        <f t="shared" si="5"/>
        <v>6.494000000000001</v>
      </c>
      <c r="E64" s="4">
        <f t="shared" si="5"/>
        <v>6.0520000000000005</v>
      </c>
      <c r="F64" s="4">
        <f t="shared" si="5"/>
        <v>5.678</v>
      </c>
      <c r="G64" s="4">
        <f t="shared" si="5"/>
        <v>5.372000000000001</v>
      </c>
      <c r="H64" s="4">
        <f t="shared" si="5"/>
        <v>4.896</v>
      </c>
    </row>
    <row r="65" spans="1:7" ht="12.75">
      <c r="A65" s="1" t="s">
        <v>38</v>
      </c>
      <c r="B65" s="4">
        <f>+G65/(1+B62)^G60</f>
        <v>77.75186623049984</v>
      </c>
      <c r="G65" s="4">
        <f>+H64/(H62-B3)</f>
        <v>122.40000000000002</v>
      </c>
    </row>
    <row r="66" spans="1:2" ht="12.75">
      <c r="A66" s="1" t="s">
        <v>32</v>
      </c>
      <c r="B66" s="4">
        <f>NPV(B62,C64:G64)</f>
        <v>24.094359501105174</v>
      </c>
    </row>
    <row r="67" spans="1:2" ht="12.75">
      <c r="A67" s="1" t="s">
        <v>41</v>
      </c>
      <c r="B67" s="4">
        <f>+B65+B66</f>
        <v>101.84622573160502</v>
      </c>
    </row>
    <row r="69" spans="1:2" ht="14.25">
      <c r="A69" s="11" t="s">
        <v>43</v>
      </c>
      <c r="B69" s="6">
        <v>0</v>
      </c>
    </row>
    <row r="70" spans="1:2" ht="12.75">
      <c r="A70" s="1" t="s">
        <v>44</v>
      </c>
      <c r="B70" s="4">
        <f>+B58</f>
        <v>244.67190247137404</v>
      </c>
    </row>
    <row r="71" spans="1:2" ht="12.75">
      <c r="A71" s="1" t="s">
        <v>41</v>
      </c>
      <c r="B71" s="4">
        <f>+B67</f>
        <v>101.84622573160502</v>
      </c>
    </row>
    <row r="72" spans="1:2" ht="12.75">
      <c r="A72" s="6" t="s">
        <v>55</v>
      </c>
      <c r="B72" s="14">
        <f>+B70+B71</f>
        <v>346.518128202979</v>
      </c>
    </row>
    <row r="73" spans="1:2" ht="12.75">
      <c r="A73" s="7" t="s">
        <v>46</v>
      </c>
      <c r="B73" s="4">
        <f>+B24</f>
        <v>6.7</v>
      </c>
    </row>
    <row r="74" spans="1:2" ht="12.75">
      <c r="A74" s="7" t="s">
        <v>45</v>
      </c>
      <c r="B74" s="4">
        <f>+B32</f>
        <v>243</v>
      </c>
    </row>
    <row r="75" spans="1:2" ht="12.75">
      <c r="A75" s="6" t="s">
        <v>53</v>
      </c>
      <c r="B75" s="14">
        <f>+B72+B73-B74</f>
        <v>110.21812820297902</v>
      </c>
    </row>
    <row r="78" spans="1:5" ht="39">
      <c r="A78" s="6" t="s">
        <v>54</v>
      </c>
      <c r="B78" s="16" t="s">
        <v>67</v>
      </c>
      <c r="C78" s="16" t="s">
        <v>68</v>
      </c>
      <c r="D78" s="17" t="s">
        <v>69</v>
      </c>
      <c r="E78" s="17" t="s">
        <v>70</v>
      </c>
    </row>
    <row r="79" spans="1:5" ht="12.75">
      <c r="A79" s="1" t="s">
        <v>49</v>
      </c>
      <c r="B79" s="4">
        <f>+B28</f>
        <v>0</v>
      </c>
      <c r="C79" s="3">
        <f>+B79/$B$83</f>
        <v>0</v>
      </c>
      <c r="D79" s="12">
        <v>0.09</v>
      </c>
      <c r="E79" s="3">
        <f>C79*D79*(1-$B$2)</f>
        <v>0</v>
      </c>
    </row>
    <row r="80" spans="1:5" ht="12.75">
      <c r="A80" s="1" t="s">
        <v>50</v>
      </c>
      <c r="B80" s="4">
        <f>+B29</f>
        <v>150</v>
      </c>
      <c r="C80" s="3">
        <f>+B80/$B$83</f>
        <v>0.6172839506172839</v>
      </c>
      <c r="D80" s="12">
        <v>0.095</v>
      </c>
      <c r="E80" s="3">
        <f>C80*D80*(1-$B$2)</f>
        <v>0.0387037037037037</v>
      </c>
    </row>
    <row r="81" spans="1:5" ht="12.75">
      <c r="A81" s="1" t="s">
        <v>51</v>
      </c>
      <c r="B81" s="4">
        <f>+B30</f>
        <v>80</v>
      </c>
      <c r="C81" s="3">
        <f>+B81/$B$83</f>
        <v>0.3292181069958848</v>
      </c>
      <c r="D81" s="12">
        <v>0.08</v>
      </c>
      <c r="E81" s="3">
        <f>C81*D81*(1-$B$2)</f>
        <v>0.017382716049382713</v>
      </c>
    </row>
    <row r="82" spans="1:5" ht="12.75">
      <c r="A82" s="1" t="s">
        <v>52</v>
      </c>
      <c r="B82" s="4">
        <f>+B31</f>
        <v>13</v>
      </c>
      <c r="C82" s="3">
        <f>+B82/$B$83</f>
        <v>0.053497942386831275</v>
      </c>
      <c r="D82" s="12">
        <v>0.075</v>
      </c>
      <c r="E82" s="3">
        <f>C82*D82*(1-$B$2)</f>
        <v>0.0026481481481481473</v>
      </c>
    </row>
    <row r="83" spans="1:5" ht="12.75">
      <c r="A83" s="1" t="s">
        <v>16</v>
      </c>
      <c r="B83" s="4">
        <f>SUM(B79:B82)</f>
        <v>243</v>
      </c>
      <c r="C83" s="3">
        <f>SUM(C79:C82)</f>
        <v>0.9999999999999999</v>
      </c>
      <c r="E83" s="3">
        <f>SUM(E79:E82)</f>
        <v>0.05873456790123456</v>
      </c>
    </row>
    <row r="84" spans="1:5" ht="12.75">
      <c r="A84" s="1" t="s">
        <v>15</v>
      </c>
      <c r="B84" s="4">
        <f>+B27</f>
        <v>64</v>
      </c>
      <c r="E84" s="12">
        <f>ROUND(B52+(B52-B62)*B83/B84*(1-$B$2),2)</f>
        <v>0.24</v>
      </c>
    </row>
    <row r="85" spans="1:5" ht="12.75">
      <c r="A85" s="1" t="s">
        <v>71</v>
      </c>
      <c r="B85" s="4">
        <f>+B83+B84</f>
        <v>307</v>
      </c>
      <c r="D85" s="18" t="s">
        <v>54</v>
      </c>
      <c r="E85" s="3">
        <f>+(E83*B83+E84*B84)/B85</f>
        <v>0.0965228013029316</v>
      </c>
    </row>
    <row r="89" spans="1:2" ht="12.75">
      <c r="A89" s="1" t="s">
        <v>72</v>
      </c>
      <c r="B89" s="4">
        <f>NPV(E85,C47:G47)</f>
        <v>97.1950272393198</v>
      </c>
    </row>
    <row r="90" spans="1:7" ht="12.75">
      <c r="A90" s="1" t="s">
        <v>34</v>
      </c>
      <c r="B90" s="4">
        <f>+G90/(1+E85)^G60</f>
        <v>303.734291601138</v>
      </c>
      <c r="G90" s="4">
        <f>+H47/(E85-B3)</f>
        <v>481.48433397514435</v>
      </c>
    </row>
    <row r="91" spans="1:7" ht="12.75">
      <c r="A91" s="1" t="s">
        <v>73</v>
      </c>
      <c r="B91" s="4">
        <f>+B89+B90</f>
        <v>400.9293188404578</v>
      </c>
      <c r="G91" s="4"/>
    </row>
    <row r="92" spans="1:7" ht="12.75">
      <c r="A92" s="1" t="s">
        <v>74</v>
      </c>
      <c r="B92" s="4">
        <f>NPV(E85,C48:G48)</f>
        <v>16.52531578149425</v>
      </c>
      <c r="G92" s="4"/>
    </row>
    <row r="93" spans="1:2" ht="12.75">
      <c r="A93" s="1" t="s">
        <v>55</v>
      </c>
      <c r="B93" s="4">
        <f>+B91+B92</f>
        <v>417.4546346219521</v>
      </c>
    </row>
    <row r="94" spans="1:2" ht="12.75">
      <c r="A94" s="7" t="s">
        <v>46</v>
      </c>
      <c r="B94" s="4">
        <f>+B24</f>
        <v>6.7</v>
      </c>
    </row>
    <row r="95" spans="1:2" ht="12.75">
      <c r="A95" s="7" t="s">
        <v>45</v>
      </c>
      <c r="B95" s="4">
        <f>+B83</f>
        <v>243</v>
      </c>
    </row>
    <row r="96" spans="1:2" ht="12.75">
      <c r="A96" s="6" t="s">
        <v>53</v>
      </c>
      <c r="B96" s="19">
        <f>+B93+B94-B95</f>
        <v>181.15463462195208</v>
      </c>
    </row>
    <row r="97" ht="12.75">
      <c r="A97" s="1" t="s">
        <v>56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" shapeId="6097452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João Carvalho das Neves</dc:creator>
  <cp:keywords/>
  <dc:description/>
  <cp:lastModifiedBy>João Carvalho das Neves</cp:lastModifiedBy>
  <dcterms:created xsi:type="dcterms:W3CDTF">2019-03-31T16:45:36Z</dcterms:created>
  <dcterms:modified xsi:type="dcterms:W3CDTF">2019-04-01T09:57:39Z</dcterms:modified>
  <cp:category/>
  <cp:version/>
  <cp:contentType/>
  <cp:contentStatus/>
</cp:coreProperties>
</file>